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- Gestion financière\GESTION FINANCIERE\Autres VM\"/>
    </mc:Choice>
  </mc:AlternateContent>
  <xr:revisionPtr revIDLastSave="0" documentId="13_ncr:1_{ADA5131C-E2B7-4859-BF87-4AD8BFFDF62A}" xr6:coauthVersionLast="47" xr6:coauthVersionMax="47" xr10:uidLastSave="{00000000-0000-0000-0000-000000000000}"/>
  <bookViews>
    <workbookView xWindow="360" yWindow="345" windowWidth="23010" windowHeight="12360" activeTab="1" xr2:uid="{0860E364-15D6-470E-BD35-B549779188EA}"/>
  </bookViews>
  <sheets>
    <sheet name="versement ponctuel" sheetId="1" r:id="rId1"/>
    <sheet name="versement programmé" sheetId="3" r:id="rId2"/>
    <sheet name="data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4" l="1"/>
  <c r="L58" i="4" s="1"/>
  <c r="E8" i="1"/>
  <c r="C19" i="1"/>
  <c r="G3" i="4" s="1"/>
  <c r="G8" i="4" s="1"/>
  <c r="K8" i="4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K50" i="4" s="1"/>
  <c r="K51" i="4" s="1"/>
  <c r="K52" i="4" s="1"/>
  <c r="K53" i="4" s="1"/>
  <c r="K54" i="4" s="1"/>
  <c r="K55" i="4" s="1"/>
  <c r="K56" i="4" s="1"/>
  <c r="B25" i="1"/>
  <c r="B24" i="1"/>
  <c r="B23" i="1"/>
  <c r="B22" i="1"/>
  <c r="B21" i="1"/>
  <c r="E9" i="1"/>
  <c r="C7" i="1"/>
  <c r="B26" i="3"/>
  <c r="B25" i="3"/>
  <c r="B24" i="3"/>
  <c r="B23" i="3"/>
  <c r="B22" i="3"/>
  <c r="E10" i="3"/>
  <c r="C8" i="3"/>
  <c r="I52" i="4"/>
  <c r="I53" i="4" s="1"/>
  <c r="I54" i="4" s="1"/>
  <c r="J51" i="4"/>
  <c r="I51" i="4"/>
  <c r="J50" i="4"/>
  <c r="I50" i="4"/>
  <c r="J49" i="4"/>
  <c r="I49" i="4"/>
  <c r="J48" i="4"/>
  <c r="I48" i="4"/>
  <c r="J47" i="4"/>
  <c r="I47" i="4"/>
  <c r="J46" i="4"/>
  <c r="I46" i="4"/>
  <c r="J45" i="4"/>
  <c r="I45" i="4"/>
  <c r="J44" i="4"/>
  <c r="I44" i="4"/>
  <c r="J43" i="4"/>
  <c r="I43" i="4"/>
  <c r="J42" i="4"/>
  <c r="I42" i="4"/>
  <c r="J41" i="4"/>
  <c r="I41" i="4"/>
  <c r="J40" i="4"/>
  <c r="I40" i="4"/>
  <c r="J39" i="4"/>
  <c r="I39" i="4"/>
  <c r="J38" i="4"/>
  <c r="I38" i="4"/>
  <c r="J37" i="4"/>
  <c r="I37" i="4"/>
  <c r="J36" i="4"/>
  <c r="I36" i="4"/>
  <c r="J35" i="4"/>
  <c r="I35" i="4"/>
  <c r="J34" i="4"/>
  <c r="I34" i="4"/>
  <c r="J33" i="4"/>
  <c r="I33" i="4"/>
  <c r="J32" i="4"/>
  <c r="I32" i="4"/>
  <c r="J31" i="4"/>
  <c r="I31" i="4"/>
  <c r="J30" i="4"/>
  <c r="I30" i="4"/>
  <c r="J29" i="4"/>
  <c r="I29" i="4"/>
  <c r="J28" i="4"/>
  <c r="I28" i="4"/>
  <c r="J27" i="4"/>
  <c r="I27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C20" i="3"/>
  <c r="G11" i="4" s="1"/>
  <c r="G16" i="4" s="1"/>
  <c r="D8" i="3"/>
  <c r="D7" i="1"/>
  <c r="G5" i="4" l="1"/>
  <c r="C22" i="1" s="1"/>
  <c r="G6" i="4"/>
  <c r="C23" i="1" s="1"/>
  <c r="G7" i="4"/>
  <c r="C24" i="1" s="1"/>
  <c r="K57" i="4"/>
  <c r="K59" i="4" s="1"/>
  <c r="L56" i="4"/>
  <c r="L8" i="4"/>
  <c r="C25" i="1"/>
  <c r="C26" i="3"/>
  <c r="C8" i="1"/>
  <c r="C9" i="1" s="1"/>
  <c r="C10" i="1"/>
  <c r="I55" i="4"/>
  <c r="I56" i="4" s="1"/>
  <c r="I57" i="4" s="1"/>
  <c r="I58" i="4" s="1"/>
  <c r="I59" i="4" s="1"/>
  <c r="G4" i="4"/>
  <c r="C21" i="1" s="1"/>
  <c r="G12" i="4"/>
  <c r="C22" i="3" s="1"/>
  <c r="L9" i="4"/>
  <c r="G15" i="4"/>
  <c r="C25" i="3" s="1"/>
  <c r="G14" i="4"/>
  <c r="C24" i="3" s="1"/>
  <c r="G13" i="4"/>
  <c r="C23" i="3" s="1"/>
  <c r="C27" i="3" l="1"/>
  <c r="C26" i="1"/>
  <c r="L59" i="4"/>
  <c r="L57" i="4"/>
  <c r="L55" i="4"/>
  <c r="L54" i="4"/>
  <c r="L10" i="4" l="1"/>
  <c r="L11" i="4" l="1"/>
  <c r="L12" i="4" l="1"/>
  <c r="L13" i="4" l="1"/>
  <c r="L14" i="4" l="1"/>
  <c r="L15" i="4" l="1"/>
  <c r="L16" i="4" l="1"/>
  <c r="L17" i="4" l="1"/>
  <c r="L18" i="4" l="1"/>
  <c r="L19" i="4" l="1"/>
  <c r="L20" i="4" l="1"/>
  <c r="L21" i="4" l="1"/>
  <c r="L22" i="4" l="1"/>
  <c r="L23" i="4" l="1"/>
  <c r="L24" i="4" l="1"/>
  <c r="L25" i="4" l="1"/>
  <c r="L26" i="4" l="1"/>
  <c r="L27" i="4" l="1"/>
  <c r="L28" i="4" l="1"/>
  <c r="L29" i="4" l="1"/>
  <c r="L30" i="4" l="1"/>
  <c r="L31" i="4" l="1"/>
  <c r="L32" i="4" l="1"/>
  <c r="L33" i="4" l="1"/>
  <c r="L34" i="4" l="1"/>
  <c r="L35" i="4" l="1"/>
  <c r="L36" i="4" l="1"/>
  <c r="L37" i="4" l="1"/>
  <c r="L38" i="4" l="1"/>
  <c r="L39" i="4" l="1"/>
  <c r="L40" i="4" l="1"/>
  <c r="L41" i="4" l="1"/>
  <c r="L42" i="4" l="1"/>
  <c r="L43" i="4" l="1"/>
  <c r="L44" i="4" l="1"/>
  <c r="L45" i="4" l="1"/>
  <c r="L46" i="4" l="1"/>
  <c r="L47" i="4" l="1"/>
  <c r="L48" i="4" l="1"/>
  <c r="L49" i="4" l="1"/>
  <c r="L50" i="4" l="1"/>
  <c r="L51" i="4" l="1"/>
  <c r="L52" i="4" l="1"/>
  <c r="L53" i="4" l="1"/>
  <c r="L5" i="4" s="1"/>
  <c r="K5" i="4"/>
  <c r="C9" i="3" s="1"/>
  <c r="C10" i="3" s="1"/>
</calcChain>
</file>

<file path=xl/sharedStrings.xml><?xml version="1.0" encoding="utf-8"?>
<sst xmlns="http://schemas.openxmlformats.org/spreadsheetml/2006/main" count="119" uniqueCount="93">
  <si>
    <t>Outil de simulation de versements volontaires (compartiments C1 et C1 bis) - versement unique</t>
  </si>
  <si>
    <t>Mon âge est de</t>
  </si>
  <si>
    <t>43 ans</t>
  </si>
  <si>
    <t>Je verse</t>
  </si>
  <si>
    <t>Mes frais à l'entrée sont</t>
  </si>
  <si>
    <t>Mes points acquis sont de</t>
  </si>
  <si>
    <t>Valeur d'acquisition du point :</t>
  </si>
  <si>
    <t>Ma rente potentielle est de *</t>
  </si>
  <si>
    <t>Valeur de service du point :</t>
  </si>
  <si>
    <t>Soit un rendement de :</t>
  </si>
  <si>
    <t>* rente annuelle estimée sur la base des paramètres en vigueur</t>
  </si>
  <si>
    <t>Revenus imposables</t>
  </si>
  <si>
    <t>Nombre de parts</t>
  </si>
  <si>
    <t>Revenus par part</t>
  </si>
  <si>
    <t>Répartition de mon impôt</t>
  </si>
  <si>
    <t>Total</t>
  </si>
  <si>
    <t>Cet outil de simulation est donné à titre indicatif et sert uniquement à vous présenter les différents choix qui s'offrent à vous.</t>
  </si>
  <si>
    <t>Selon votre situation personnelle, il vous appartient de vous positionner librement.</t>
  </si>
  <si>
    <t xml:space="preserve">La notice est sur le site BP-preventio.org, accessible via le lien : </t>
  </si>
  <si>
    <t>https://www.bp-preventio.org/transverse/pdf/NoticeRSRC01012023.pdf</t>
  </si>
  <si>
    <t>Pour toute question, veuillez vous adresser à RSBP : rsrc.retraite@car-ipbp.org / 01 53 93 65 10</t>
  </si>
  <si>
    <t>Je commence à</t>
  </si>
  <si>
    <t>64 ans</t>
  </si>
  <si>
    <t>Jusqu'à</t>
  </si>
  <si>
    <t>65 ans</t>
  </si>
  <si>
    <t>Je verse mensuellement</t>
  </si>
  <si>
    <t>Frais d'entrée</t>
  </si>
  <si>
    <t>impots</t>
  </si>
  <si>
    <t>Valeur de service</t>
  </si>
  <si>
    <t>Valeur d'acquisition</t>
  </si>
  <si>
    <t>versements programmés</t>
  </si>
  <si>
    <t>18 ans</t>
  </si>
  <si>
    <t>19 ans</t>
  </si>
  <si>
    <t>20 ans</t>
  </si>
  <si>
    <t>21 ans</t>
  </si>
  <si>
    <t>22 ans</t>
  </si>
  <si>
    <t>23 ans</t>
  </si>
  <si>
    <t>24 ans</t>
  </si>
  <si>
    <t>25 ans</t>
  </si>
  <si>
    <t>26 ans</t>
  </si>
  <si>
    <t>27 ans</t>
  </si>
  <si>
    <t>28 ans</t>
  </si>
  <si>
    <t>29 ans</t>
  </si>
  <si>
    <t>30 ans</t>
  </si>
  <si>
    <t>31 ans</t>
  </si>
  <si>
    <t>32 ans</t>
  </si>
  <si>
    <t>33 ans</t>
  </si>
  <si>
    <t>34 ans</t>
  </si>
  <si>
    <t>35 ans</t>
  </si>
  <si>
    <t>36 ans</t>
  </si>
  <si>
    <t>37 ans</t>
  </si>
  <si>
    <t>38 ans</t>
  </si>
  <si>
    <t>39 ans</t>
  </si>
  <si>
    <t>40 ans</t>
  </si>
  <si>
    <t>41 ans</t>
  </si>
  <si>
    <t>42 ans</t>
  </si>
  <si>
    <t>44 ans</t>
  </si>
  <si>
    <t>45 ans</t>
  </si>
  <si>
    <t>46 ans</t>
  </si>
  <si>
    <t>47 ans</t>
  </si>
  <si>
    <t>48 ans</t>
  </si>
  <si>
    <t>49 ans</t>
  </si>
  <si>
    <t>50 ans</t>
  </si>
  <si>
    <t>51 ans</t>
  </si>
  <si>
    <t>52 ans</t>
  </si>
  <si>
    <t>53 ans</t>
  </si>
  <si>
    <t>54 ans</t>
  </si>
  <si>
    <t>55 ans</t>
  </si>
  <si>
    <t>56 ans</t>
  </si>
  <si>
    <t>57 ans</t>
  </si>
  <si>
    <t>58 ans</t>
  </si>
  <si>
    <t>59 ans</t>
  </si>
  <si>
    <t>60 ans</t>
  </si>
  <si>
    <t>61 ans</t>
  </si>
  <si>
    <t>62 ans</t>
  </si>
  <si>
    <t>63 ans</t>
  </si>
  <si>
    <t>67 ans</t>
  </si>
  <si>
    <t>68 ans</t>
  </si>
  <si>
    <t>69 ans</t>
  </si>
  <si>
    <t>70 ans</t>
  </si>
  <si>
    <t>Revenus inférieurs à 11 497 euros</t>
  </si>
  <si>
    <t>Revenus de 11 498 à 29 315 euros</t>
  </si>
  <si>
    <t>Revenus de 29 316 à 83 823 euros</t>
  </si>
  <si>
    <t>Revenus de 83 824 à 180 294 euros</t>
  </si>
  <si>
    <t>Revenus supérieurs à 180 294 euros</t>
  </si>
  <si>
    <t>Outil de simulation de versements volontaires (compartiments C1 et C1 bis) - Versement Ponctuel</t>
  </si>
  <si>
    <t>Pour toute question, veuillez vous adresser à RSBP : retraite@car-ipbp.org / 01 53 93 65 10</t>
  </si>
  <si>
    <t>Les versements volontaires peuvent  faire l'objet d'une défiscalisation à l'entrée en N+1, par une diminution de l'assiette imposable, en fonction de vos seuils définis par la DGFIP,</t>
  </si>
  <si>
    <t xml:space="preserve">Les versements volontaires peuvent  faire l'objet d'une défiscalisation à l'entrée en N+1, par une diminution de l'assiette imposable, en fonction de vos seuils définis par l'administration fiscale. </t>
  </si>
  <si>
    <t>Attention, le plafond de déduction des cotisations est commun à l'ensemble des contrats d'épargne retraite facultatifs !</t>
  </si>
  <si>
    <t>sur la base des paramètres au 1er juillet 2026 valables jusqu'au 30 juin 2027</t>
  </si>
  <si>
    <t>sur la base des paramètres au 1er juilllet 2026 valables jusqu'au 30 juin 2027</t>
  </si>
  <si>
    <t>64 ans et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</si>
</sst>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00\ &quot;€&quot;_-;\-* #,##0.00000\ &quot;€&quot;_-;_-* &quot;-&quot;??\ &quot;€&quot;_-;_-@_-"/>
    <numFmt numFmtId="165" formatCode="#,##0.000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8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right"/>
    </xf>
    <xf numFmtId="0" fontId="3" fillId="0" borderId="0" xfId="0" applyFont="1" applyAlignment="1">
      <alignment horizontal="center"/>
    </xf>
    <xf numFmtId="44" fontId="3" fillId="0" borderId="0" xfId="0" applyNumberFormat="1" applyFont="1"/>
    <xf numFmtId="44" fontId="0" fillId="2" borderId="0" xfId="0" applyNumberFormat="1" applyFill="1"/>
    <xf numFmtId="10" fontId="4" fillId="2" borderId="0" xfId="0" applyNumberFormat="1" applyFont="1" applyFill="1" applyAlignment="1">
      <alignment horizontal="left"/>
    </xf>
    <xf numFmtId="2" fontId="0" fillId="2" borderId="0" xfId="0" applyNumberFormat="1" applyFill="1"/>
    <xf numFmtId="164" fontId="0" fillId="2" borderId="0" xfId="0" applyNumberFormat="1" applyFill="1"/>
    <xf numFmtId="44" fontId="3" fillId="2" borderId="0" xfId="0" applyNumberFormat="1" applyFont="1" applyFill="1"/>
    <xf numFmtId="165" fontId="0" fillId="2" borderId="0" xfId="0" applyNumberFormat="1" applyFill="1"/>
    <xf numFmtId="0" fontId="5" fillId="2" borderId="0" xfId="0" applyFont="1" applyFill="1" applyAlignment="1">
      <alignment horizontal="right"/>
    </xf>
    <xf numFmtId="10" fontId="5" fillId="2" borderId="0" xfId="2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44" fontId="0" fillId="0" borderId="0" xfId="0" applyNumberFormat="1"/>
    <xf numFmtId="9" fontId="4" fillId="2" borderId="0" xfId="0" applyNumberFormat="1" applyFont="1" applyFill="1"/>
    <xf numFmtId="9" fontId="3" fillId="2" borderId="0" xfId="0" applyNumberFormat="1" applyFont="1" applyFill="1" applyAlignment="1">
      <alignment horizontal="right"/>
    </xf>
    <xf numFmtId="10" fontId="5" fillId="2" borderId="0" xfId="2" applyNumberFormat="1" applyFont="1" applyFill="1" applyAlignment="1">
      <alignment horizontal="left"/>
    </xf>
    <xf numFmtId="10" fontId="0" fillId="0" borderId="0" xfId="0" applyNumberFormat="1"/>
    <xf numFmtId="0" fontId="0" fillId="3" borderId="0" xfId="0" applyFill="1"/>
    <xf numFmtId="9" fontId="0" fillId="0" borderId="0" xfId="0" applyNumberFormat="1"/>
    <xf numFmtId="43" fontId="0" fillId="0" borderId="0" xfId="1" applyFont="1"/>
    <xf numFmtId="0" fontId="6" fillId="0" borderId="0" xfId="0" applyFont="1" applyAlignment="1">
      <alignment horizontal="center" vertical="center"/>
    </xf>
    <xf numFmtId="0" fontId="2" fillId="2" borderId="0" xfId="3" applyFill="1"/>
    <xf numFmtId="0" fontId="0" fillId="2" borderId="0" xfId="0" applyFill="1" applyAlignment="1">
      <alignment horizontal="center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461010</xdr:colOff>
      <xdr:row>0</xdr:row>
      <xdr:rowOff>43815</xdr:rowOff>
    </xdr:from>
    <xdr:to>
      <xdr:col>5</xdr:col>
      <xdr:colOff>574912</xdr:colOff>
      <xdr:row>0</xdr:row>
      <xdr:rowOff>801912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48508F-0B3E-4F79-A5B4-27978068F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" y="43815"/>
          <a:ext cx="5044042" cy="758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76200</xdr:rowOff>
    </xdr:from>
    <xdr:to>
      <xdr:col>6</xdr:col>
      <xdr:colOff>79612</xdr:colOff>
      <xdr:row>0</xdr:row>
      <xdr:rowOff>834297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455F0D3-B9E5-46CC-BD23-0DD0B6202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" y="76200"/>
          <a:ext cx="3196192" cy="758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p-preventio.org/transverse/pdf/NoticeRSRC01012023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p-preventio.org/transverse/pdf/NoticeRSRC0101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5EC01-E315-4C40-B6E7-EA943E3EA1D9}">
  <dimension ref="A1:CI31"/>
  <sheetViews>
    <sheetView workbookViewId="0">
      <selection activeCell="C8" sqref="C8"/>
    </sheetView>
  </sheetViews>
  <sheetFormatPr baseColWidth="10" defaultRowHeight="15" x14ac:dyDescent="0.25"/>
  <cols>
    <col min="1" max="1" width="4.28515625" style="1" customWidth="1"/>
    <col min="2" max="2" width="21.28515625" style="1" customWidth="1"/>
    <col min="3" max="3" width="15.42578125" style="1" customWidth="1"/>
    <col min="4" max="4" width="25.85546875" style="1" bestFit="1" customWidth="1"/>
    <col min="5" max="87" width="11.42578125" style="1"/>
  </cols>
  <sheetData>
    <row r="1" spans="2:5" ht="69.75" customHeight="1" x14ac:dyDescent="0.25"/>
    <row r="2" spans="2:5" x14ac:dyDescent="0.25">
      <c r="B2" s="2" t="s">
        <v>85</v>
      </c>
    </row>
    <row r="3" spans="2:5" x14ac:dyDescent="0.25">
      <c r="B3" s="2" t="s">
        <v>90</v>
      </c>
    </row>
    <row r="5" spans="2:5" x14ac:dyDescent="0.25">
      <c r="B5" s="3" t="s">
        <v>1</v>
      </c>
      <c r="C5" s="4" t="s">
        <v>92</v>
      </c>
    </row>
    <row r="6" spans="2:5" x14ac:dyDescent="0.25">
      <c r="B6" s="3" t="s">
        <v>3</v>
      </c>
      <c r="C6" s="5">
        <v>10000</v>
      </c>
    </row>
    <row r="7" spans="2:5" x14ac:dyDescent="0.25">
      <c r="B7" s="3" t="s">
        <v>4</v>
      </c>
      <c r="C7" s="6">
        <f>data!$B$3*C6</f>
        <v>75</v>
      </c>
      <c r="D7" s="7" t="str">
        <f>"(0.75%)"</f>
        <v>(0.75%)</v>
      </c>
    </row>
    <row r="8" spans="2:5" x14ac:dyDescent="0.25">
      <c r="B8" s="3" t="s">
        <v>5</v>
      </c>
      <c r="C8" s="8">
        <f>(C6-C7)/E8</f>
        <v>1913.5554921452645</v>
      </c>
      <c r="D8" s="1" t="s">
        <v>6</v>
      </c>
      <c r="E8" s="9">
        <f>VLOOKUP(C5,data!$A$7:$B$72,2,0)</f>
        <v>5.18668</v>
      </c>
    </row>
    <row r="9" spans="2:5" x14ac:dyDescent="0.25">
      <c r="B9" s="3" t="s">
        <v>7</v>
      </c>
      <c r="C9" s="10">
        <f>C8*E9</f>
        <v>459.10023367549184</v>
      </c>
      <c r="D9" s="1" t="s">
        <v>8</v>
      </c>
      <c r="E9" s="11">
        <f>data!B4</f>
        <v>0.23991999999999999</v>
      </c>
    </row>
    <row r="10" spans="2:5" x14ac:dyDescent="0.25">
      <c r="B10" s="12" t="s">
        <v>9</v>
      </c>
      <c r="C10" s="13">
        <f>E9/E8</f>
        <v>4.6256950496271217E-2</v>
      </c>
    </row>
    <row r="11" spans="2:5" x14ac:dyDescent="0.25">
      <c r="B11" s="3"/>
    </row>
    <row r="12" spans="2:5" x14ac:dyDescent="0.25">
      <c r="B12" s="14" t="s">
        <v>10</v>
      </c>
    </row>
    <row r="14" spans="2:5" x14ac:dyDescent="0.25">
      <c r="B14" s="2" t="s">
        <v>88</v>
      </c>
    </row>
    <row r="15" spans="2:5" x14ac:dyDescent="0.25">
      <c r="B15" s="2" t="s">
        <v>89</v>
      </c>
    </row>
    <row r="17" spans="2:87" x14ac:dyDescent="0.25">
      <c r="B17" s="1" t="s">
        <v>11</v>
      </c>
      <c r="C17" s="15">
        <v>40000</v>
      </c>
    </row>
    <row r="18" spans="2:87" x14ac:dyDescent="0.25">
      <c r="B18" s="1" t="s">
        <v>12</v>
      </c>
      <c r="C18">
        <v>1</v>
      </c>
    </row>
    <row r="19" spans="2:87" x14ac:dyDescent="0.25">
      <c r="B19" s="1" t="s">
        <v>13</v>
      </c>
      <c r="C19" s="6">
        <f>C17/C18</f>
        <v>40000</v>
      </c>
    </row>
    <row r="20" spans="2:87" x14ac:dyDescent="0.25">
      <c r="B20" s="1" t="s">
        <v>14</v>
      </c>
    </row>
    <row r="21" spans="2:87" x14ac:dyDescent="0.25">
      <c r="B21" s="16">
        <f>data!F4</f>
        <v>0</v>
      </c>
      <c r="C21" s="6">
        <f>B21*data!G4*$C$18</f>
        <v>0</v>
      </c>
      <c r="D21" s="1" t="s">
        <v>80</v>
      </c>
    </row>
    <row r="22" spans="2:87" x14ac:dyDescent="0.25">
      <c r="B22" s="16">
        <f>data!F5</f>
        <v>0.11</v>
      </c>
      <c r="C22" s="6">
        <f>B22*data!G5*$C$18</f>
        <v>1959.98</v>
      </c>
      <c r="D22" s="1" t="s">
        <v>81</v>
      </c>
    </row>
    <row r="23" spans="2:87" x14ac:dyDescent="0.25">
      <c r="B23" s="16">
        <f>data!F6</f>
        <v>0.3</v>
      </c>
      <c r="C23" s="6">
        <f>B23*data!G6*$C$18</f>
        <v>3205.5</v>
      </c>
      <c r="D23" s="1" t="s">
        <v>82</v>
      </c>
    </row>
    <row r="24" spans="2:87" x14ac:dyDescent="0.25">
      <c r="B24" s="16">
        <f>data!F7</f>
        <v>0.41</v>
      </c>
      <c r="C24" s="6">
        <f>B24*data!G7*$C$18</f>
        <v>0</v>
      </c>
      <c r="D24" s="1" t="s">
        <v>83</v>
      </c>
    </row>
    <row r="25" spans="2:87" x14ac:dyDescent="0.25">
      <c r="B25" s="16">
        <f>data!F8</f>
        <v>0.45</v>
      </c>
      <c r="C25" s="6">
        <f>B25*data!G8*$C$18</f>
        <v>0</v>
      </c>
      <c r="D25" s="1" t="s">
        <v>84</v>
      </c>
    </row>
    <row r="26" spans="2:87" x14ac:dyDescent="0.25">
      <c r="B26" s="17" t="s">
        <v>15</v>
      </c>
      <c r="C26" s="10">
        <f>SUM(C21:C25)</f>
        <v>5165.4799999999996</v>
      </c>
    </row>
    <row r="28" spans="2:87" x14ac:dyDescent="0.25">
      <c r="B28" s="2" t="s">
        <v>16</v>
      </c>
    </row>
    <row r="29" spans="2:87" x14ac:dyDescent="0.25">
      <c r="B29" s="2" t="s">
        <v>17</v>
      </c>
    </row>
    <row r="30" spans="2:87" x14ac:dyDescent="0.25">
      <c r="B30" s="2" t="s">
        <v>18</v>
      </c>
      <c r="E30" s="24" t="s">
        <v>19</v>
      </c>
      <c r="F30" s="24"/>
      <c r="G30" s="24"/>
      <c r="H30" s="24"/>
      <c r="I30" s="24"/>
      <c r="J30" s="24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</row>
    <row r="31" spans="2:87" x14ac:dyDescent="0.25">
      <c r="B31" s="2" t="s">
        <v>86</v>
      </c>
    </row>
  </sheetData>
  <sheetProtection algorithmName="SHA-512" hashValue="KSvgrN3sPVOJt9frBBPa7pEpTu2EV0h1AFi1v+H+Y+/S/9zla+1vJFJdZmGdoQy2ZhaNV7bxwnFyNNJpX70Iyg==" saltValue="mUg9moFt74hmz8bLhvPVqQ==" spinCount="100000" sheet="1" objects="1" scenarios="1"/>
  <protectedRanges>
    <protectedRange sqref="C17:C18" name="Plage2"/>
    <protectedRange sqref="C5:C6" name="Plage1"/>
  </protectedRanges>
  <mergeCells count="1">
    <mergeCell ref="E30:J30"/>
  </mergeCells>
  <hyperlinks>
    <hyperlink ref="E30" r:id="rId1" xr:uid="{F21EEB94-0E3D-4FA3-9676-9FD8DFE5D5A8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EDE116-15E6-437C-BE66-C4F86A470CD7}">
          <x14:formula1>
            <xm:f>data!$A$8:$A$54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8E7B-0BC5-446B-B86A-1E36A3153157}">
  <dimension ref="A1:CI32"/>
  <sheetViews>
    <sheetView tabSelected="1" workbookViewId="0">
      <selection activeCell="J8" sqref="J8"/>
    </sheetView>
  </sheetViews>
  <sheetFormatPr baseColWidth="10" defaultRowHeight="15" x14ac:dyDescent="0.25"/>
  <cols>
    <col min="1" max="1" width="4.28515625" style="1" customWidth="1"/>
    <col min="2" max="2" width="21.28515625" style="1" customWidth="1"/>
    <col min="3" max="3" width="15.42578125" style="1" customWidth="1"/>
    <col min="4" max="4" width="25.85546875" style="1" bestFit="1" customWidth="1"/>
    <col min="5" max="87" width="11.42578125" style="1"/>
  </cols>
  <sheetData>
    <row r="1" spans="2:6" ht="69.75" customHeight="1" x14ac:dyDescent="0.25"/>
    <row r="2" spans="2:6" x14ac:dyDescent="0.25">
      <c r="B2" s="2" t="s">
        <v>0</v>
      </c>
    </row>
    <row r="3" spans="2:6" x14ac:dyDescent="0.25">
      <c r="B3" s="2" t="s">
        <v>91</v>
      </c>
    </row>
    <row r="5" spans="2:6" x14ac:dyDescent="0.25">
      <c r="B5" s="3" t="s">
        <v>21</v>
      </c>
      <c r="C5" s="4" t="s">
        <v>59</v>
      </c>
    </row>
    <row r="6" spans="2:6" x14ac:dyDescent="0.25">
      <c r="B6" s="3" t="s">
        <v>23</v>
      </c>
      <c r="C6" s="4" t="s">
        <v>77</v>
      </c>
    </row>
    <row r="7" spans="2:6" x14ac:dyDescent="0.25">
      <c r="B7" s="3" t="s">
        <v>25</v>
      </c>
      <c r="C7" s="5">
        <v>100</v>
      </c>
    </row>
    <row r="8" spans="2:6" x14ac:dyDescent="0.25">
      <c r="B8" s="3" t="s">
        <v>4</v>
      </c>
      <c r="C8" s="6">
        <f>data!$B$3*C7*12</f>
        <v>9</v>
      </c>
      <c r="D8" s="7" t="str">
        <f>"(sur l'année complète, soit 0.75%)"</f>
        <v>(sur l'année complète, soit 0.75%)</v>
      </c>
    </row>
    <row r="9" spans="2:6" x14ac:dyDescent="0.25">
      <c r="B9" s="3" t="s">
        <v>5</v>
      </c>
      <c r="C9" s="8">
        <f>data!K5</f>
        <v>5574.6945361948983</v>
      </c>
      <c r="D9" s="25"/>
      <c r="E9" s="25"/>
      <c r="F9" s="11"/>
    </row>
    <row r="10" spans="2:6" x14ac:dyDescent="0.25">
      <c r="B10" s="3" t="s">
        <v>7</v>
      </c>
      <c r="C10" s="10">
        <f>C9*E10</f>
        <v>1337.4807131238799</v>
      </c>
      <c r="D10" s="1" t="s">
        <v>8</v>
      </c>
      <c r="E10" s="11">
        <f>data!B4</f>
        <v>0.23991999999999999</v>
      </c>
    </row>
    <row r="11" spans="2:6" x14ac:dyDescent="0.25">
      <c r="C11" s="12"/>
      <c r="D11" s="18"/>
    </row>
    <row r="12" spans="2:6" x14ac:dyDescent="0.25">
      <c r="B12" s="3"/>
    </row>
    <row r="13" spans="2:6" x14ac:dyDescent="0.25">
      <c r="B13" s="14" t="s">
        <v>10</v>
      </c>
    </row>
    <row r="15" spans="2:6" x14ac:dyDescent="0.25">
      <c r="B15" s="2" t="s">
        <v>87</v>
      </c>
    </row>
    <row r="16" spans="2:6" x14ac:dyDescent="0.25">
      <c r="B16" s="2" t="s">
        <v>89</v>
      </c>
    </row>
    <row r="18" spans="2:10" x14ac:dyDescent="0.25">
      <c r="B18" s="1" t="s">
        <v>11</v>
      </c>
      <c r="C18" s="15">
        <v>40000</v>
      </c>
    </row>
    <row r="19" spans="2:10" x14ac:dyDescent="0.25">
      <c r="B19" s="1" t="s">
        <v>12</v>
      </c>
      <c r="C19">
        <v>2.5</v>
      </c>
    </row>
    <row r="20" spans="2:10" x14ac:dyDescent="0.25">
      <c r="B20" s="1" t="s">
        <v>13</v>
      </c>
      <c r="C20" s="6">
        <f>C18/C19</f>
        <v>16000</v>
      </c>
    </row>
    <row r="21" spans="2:10" x14ac:dyDescent="0.25">
      <c r="B21" s="1" t="s">
        <v>14</v>
      </c>
    </row>
    <row r="22" spans="2:10" x14ac:dyDescent="0.25">
      <c r="B22" s="16">
        <f>data!F4</f>
        <v>0</v>
      </c>
      <c r="C22" s="6">
        <f>B22*data!G12*$C$19</f>
        <v>0</v>
      </c>
      <c r="D22" s="1" t="s">
        <v>80</v>
      </c>
    </row>
    <row r="23" spans="2:10" x14ac:dyDescent="0.25">
      <c r="B23" s="16">
        <f>data!F5</f>
        <v>0.11</v>
      </c>
      <c r="C23" s="6">
        <f>B23*data!G13*$C$19</f>
        <v>1294.1499999999999</v>
      </c>
      <c r="D23" s="1" t="s">
        <v>81</v>
      </c>
    </row>
    <row r="24" spans="2:10" x14ac:dyDescent="0.25">
      <c r="B24" s="16">
        <f>data!F6</f>
        <v>0.3</v>
      </c>
      <c r="C24" s="6">
        <f>B24*data!G14*$C$19</f>
        <v>0</v>
      </c>
      <c r="D24" s="1" t="s">
        <v>82</v>
      </c>
    </row>
    <row r="25" spans="2:10" x14ac:dyDescent="0.25">
      <c r="B25" s="16">
        <f>data!F7</f>
        <v>0.41</v>
      </c>
      <c r="C25" s="6">
        <f>B25*data!G15*$C$19</f>
        <v>0</v>
      </c>
      <c r="D25" s="1" t="s">
        <v>83</v>
      </c>
    </row>
    <row r="26" spans="2:10" x14ac:dyDescent="0.25">
      <c r="B26" s="16">
        <f>data!F8</f>
        <v>0.45</v>
      </c>
      <c r="C26" s="6">
        <f>B26*data!G16*$C$19</f>
        <v>0</v>
      </c>
      <c r="D26" s="1" t="s">
        <v>84</v>
      </c>
    </row>
    <row r="27" spans="2:10" x14ac:dyDescent="0.25">
      <c r="B27" s="17" t="s">
        <v>15</v>
      </c>
      <c r="C27" s="10">
        <f>SUM(C22:C26)</f>
        <v>1294.1499999999999</v>
      </c>
    </row>
    <row r="29" spans="2:10" x14ac:dyDescent="0.25">
      <c r="B29" s="2" t="s">
        <v>16</v>
      </c>
    </row>
    <row r="30" spans="2:10" x14ac:dyDescent="0.25">
      <c r="B30" s="2" t="s">
        <v>17</v>
      </c>
    </row>
    <row r="31" spans="2:10" x14ac:dyDescent="0.25">
      <c r="B31" s="2" t="s">
        <v>18</v>
      </c>
      <c r="E31" s="24" t="s">
        <v>19</v>
      </c>
      <c r="F31" s="24"/>
      <c r="G31" s="24"/>
      <c r="H31" s="24"/>
      <c r="I31" s="24"/>
      <c r="J31" s="24"/>
    </row>
    <row r="32" spans="2:10" x14ac:dyDescent="0.25">
      <c r="B32" s="2" t="s">
        <v>20</v>
      </c>
    </row>
  </sheetData>
  <sheetProtection algorithmName="SHA-512" hashValue="kA/AcPfsWsV8d029l84PC9S2JoOQo3iCiYwbDbG/0Hk/cuyfb16NB+G+nVG0JO52eUu/mlBxtB4zhXru3Tu58Q==" saltValue="QnNYNY5zfOFsGbeNoFqGpQ==" spinCount="100000" sheet="1" objects="1" scenarios="1"/>
  <protectedRanges>
    <protectedRange sqref="C18:C19" name="Plage2"/>
    <protectedRange sqref="C5:C7" name="Plage1"/>
  </protectedRanges>
  <mergeCells count="2">
    <mergeCell ref="D9:E9"/>
    <mergeCell ref="E31:J31"/>
  </mergeCells>
  <hyperlinks>
    <hyperlink ref="E31" r:id="rId1" xr:uid="{3B8E9621-AFFF-4954-9897-5B5B1B6A6EB7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379F6E-ACC2-4246-BD0D-320BE009404F}">
          <x14:formula1>
            <xm:f>data!$J$8:$J$59</xm:f>
          </x14:formula1>
          <xm:sqref>C5:C6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4E16-2D84-4940-B6AF-DBEF62FDD41C}">
  <dimension ref="A3:L59"/>
  <sheetViews>
    <sheetView topLeftCell="A36" workbookViewId="0">
      <selection activeCell="B49" sqref="B49"/>
    </sheetView>
  </sheetViews>
  <sheetFormatPr baseColWidth="10" defaultRowHeight="15" x14ac:dyDescent="0.25"/>
  <cols>
    <col min="1" max="1" width="15.85546875" bestFit="1" customWidth="1"/>
    <col min="7" max="7" width="15.7109375" bestFit="1" customWidth="1"/>
    <col min="8" max="8" width="11.42578125" style="20"/>
  </cols>
  <sheetData>
    <row r="3" spans="1:12" x14ac:dyDescent="0.25">
      <c r="A3" t="s">
        <v>26</v>
      </c>
      <c r="B3" s="19">
        <v>7.4999999999999997E-3</v>
      </c>
      <c r="E3" t="s">
        <v>27</v>
      </c>
      <c r="G3" s="15">
        <f>'versement ponctuel'!C19</f>
        <v>40000</v>
      </c>
    </row>
    <row r="4" spans="1:12" x14ac:dyDescent="0.25">
      <c r="A4" t="s">
        <v>28</v>
      </c>
      <c r="B4">
        <v>0.23991999999999999</v>
      </c>
      <c r="E4">
        <v>11497</v>
      </c>
      <c r="F4" s="21">
        <v>0</v>
      </c>
      <c r="G4" s="22">
        <f>IF(G3&lt;=E4,G3,E4)</f>
        <v>11497</v>
      </c>
    </row>
    <row r="5" spans="1:12" x14ac:dyDescent="0.25">
      <c r="E5">
        <v>29315</v>
      </c>
      <c r="F5" s="21">
        <v>0.11</v>
      </c>
      <c r="G5" s="22">
        <f>IF(G3&gt;E4,IF(G3&gt;E5,E5-E4,G3-E4),0)</f>
        <v>17818</v>
      </c>
      <c r="K5">
        <f>SUM(K8:K59)</f>
        <v>5574.6945361948983</v>
      </c>
      <c r="L5">
        <f>AVERAGE(L8:L59)</f>
        <v>4.550440952380951</v>
      </c>
    </row>
    <row r="6" spans="1:12" x14ac:dyDescent="0.25">
      <c r="A6" t="s">
        <v>29</v>
      </c>
      <c r="E6">
        <v>83823</v>
      </c>
      <c r="F6" s="21">
        <v>0.3</v>
      </c>
      <c r="G6" s="22">
        <f>IF(G3&gt;E5,IF(G3&gt;E6,E6-E5,G3-E5),0)</f>
        <v>10685</v>
      </c>
      <c r="K6" t="s">
        <v>30</v>
      </c>
    </row>
    <row r="7" spans="1:12" x14ac:dyDescent="0.25">
      <c r="E7">
        <v>180294</v>
      </c>
      <c r="F7" s="21">
        <v>0.41</v>
      </c>
      <c r="G7" s="22">
        <f>IF(G3&gt;E6,IF(G3&gt;E7,E7-E6,G3-E6),0)</f>
        <v>0</v>
      </c>
    </row>
    <row r="8" spans="1:12" x14ac:dyDescent="0.25">
      <c r="A8" t="s">
        <v>31</v>
      </c>
      <c r="B8">
        <v>2.25814</v>
      </c>
      <c r="C8" s="23"/>
      <c r="F8" s="21">
        <v>0.45</v>
      </c>
      <c r="G8" s="22">
        <f>IF(G3&gt;E7,G3-E7,0)</f>
        <v>0</v>
      </c>
      <c r="I8">
        <f>B8</f>
        <v>2.25814</v>
      </c>
      <c r="J8" t="str">
        <f>A8</f>
        <v>18 ans</v>
      </c>
      <c r="K8" t="str">
        <f>IF(J7='versement programmé'!$C$6,"",IF('versement programmé'!$C$5=J8,('versement programmé'!$C$7*12-'versement programmé'!$C$8)/I8,IF(K7="","",('versement programmé'!$C$7*12-'versement programmé'!$C$8)/I8)))</f>
        <v/>
      </c>
      <c r="L8" t="str">
        <f>IF(K8="","",I8)</f>
        <v/>
      </c>
    </row>
    <row r="9" spans="1:12" x14ac:dyDescent="0.25">
      <c r="A9" t="s">
        <v>32</v>
      </c>
      <c r="B9">
        <v>2.25814</v>
      </c>
      <c r="C9" s="23"/>
      <c r="I9">
        <f t="shared" ref="I9:I52" si="0">B9</f>
        <v>2.25814</v>
      </c>
      <c r="J9" t="str">
        <f t="shared" ref="J9:J51" si="1">A9</f>
        <v>19 ans</v>
      </c>
      <c r="K9" t="str">
        <f>IF(J8='versement programmé'!$C$6,"",IF('versement programmé'!$C$5=J9,('versement programmé'!$C$7*12-'versement programmé'!$C$8)/I9,IF(K8="","",('versement programmé'!$C$7*12-'versement programmé'!$C$8)/I9)))</f>
        <v/>
      </c>
      <c r="L9" t="str">
        <f t="shared" ref="L9:L59" si="2">IF(K9="","",I9)</f>
        <v/>
      </c>
    </row>
    <row r="10" spans="1:12" x14ac:dyDescent="0.25">
      <c r="A10" t="s">
        <v>33</v>
      </c>
      <c r="B10">
        <v>2.25814</v>
      </c>
      <c r="C10" s="23"/>
      <c r="I10">
        <f t="shared" si="0"/>
        <v>2.25814</v>
      </c>
      <c r="J10" t="str">
        <f t="shared" si="1"/>
        <v>20 ans</v>
      </c>
      <c r="K10" t="str">
        <f>IF(J9='versement programmé'!$C$6,"",IF('versement programmé'!$C$5=J10,('versement programmé'!$C$7*12-'versement programmé'!$C$8)/I10,IF(K9="","",('versement programmé'!$C$7*12-'versement programmé'!$C$8)/I10)))</f>
        <v/>
      </c>
      <c r="L10" t="str">
        <f t="shared" si="2"/>
        <v/>
      </c>
    </row>
    <row r="11" spans="1:12" x14ac:dyDescent="0.25">
      <c r="A11" t="s">
        <v>34</v>
      </c>
      <c r="B11">
        <v>2.25814</v>
      </c>
      <c r="C11" s="23"/>
      <c r="E11" t="s">
        <v>27</v>
      </c>
      <c r="G11" s="15">
        <f>'versement programmé'!C20</f>
        <v>16000</v>
      </c>
      <c r="I11">
        <f t="shared" si="0"/>
        <v>2.25814</v>
      </c>
      <c r="J11" t="str">
        <f t="shared" si="1"/>
        <v>21 ans</v>
      </c>
      <c r="K11" t="str">
        <f>IF(J10='versement programmé'!$C$6,"",IF('versement programmé'!$C$5=J11,('versement programmé'!$C$7*12-'versement programmé'!$C$8)/I11,IF(K10="","",('versement programmé'!$C$7*12-'versement programmé'!$C$8)/I11)))</f>
        <v/>
      </c>
      <c r="L11" t="str">
        <f t="shared" si="2"/>
        <v/>
      </c>
    </row>
    <row r="12" spans="1:12" x14ac:dyDescent="0.25">
      <c r="A12" t="s">
        <v>35</v>
      </c>
      <c r="B12">
        <v>2.2983799999999999</v>
      </c>
      <c r="C12" s="23"/>
      <c r="E12">
        <v>11294</v>
      </c>
      <c r="F12" s="21">
        <v>0</v>
      </c>
      <c r="G12" s="22">
        <f>IF(G11&lt;=E12,G11,E12)</f>
        <v>11294</v>
      </c>
      <c r="I12">
        <f t="shared" si="0"/>
        <v>2.2983799999999999</v>
      </c>
      <c r="J12" t="str">
        <f t="shared" si="1"/>
        <v>22 ans</v>
      </c>
      <c r="K12" t="str">
        <f>IF(J11='versement programmé'!$C$6,"",IF('versement programmé'!$C$5=J12,('versement programmé'!$C$7*12-'versement programmé'!$C$8)/I12,IF(K11="","",('versement programmé'!$C$7*12-'versement programmé'!$C$8)/I12)))</f>
        <v/>
      </c>
      <c r="L12" t="str">
        <f t="shared" si="2"/>
        <v/>
      </c>
    </row>
    <row r="13" spans="1:12" x14ac:dyDescent="0.25">
      <c r="A13" t="s">
        <v>36</v>
      </c>
      <c r="B13">
        <v>2.3392499999999998</v>
      </c>
      <c r="C13" s="23"/>
      <c r="E13">
        <v>28797</v>
      </c>
      <c r="F13" s="21">
        <v>0.11</v>
      </c>
      <c r="G13" s="22">
        <f>IF(G11&gt;E12,IF(G11&gt;E13,E13-E12,G11-E12),0)</f>
        <v>4706</v>
      </c>
      <c r="I13">
        <f t="shared" si="0"/>
        <v>2.3392499999999998</v>
      </c>
      <c r="J13" t="str">
        <f t="shared" si="1"/>
        <v>23 ans</v>
      </c>
      <c r="K13" t="str">
        <f>IF(J12='versement programmé'!$C$6,"",IF('versement programmé'!$C$5=J13,('versement programmé'!$C$7*12-'versement programmé'!$C$8)/I13,IF(K12="","",('versement programmé'!$C$7*12-'versement programmé'!$C$8)/I13)))</f>
        <v/>
      </c>
      <c r="L13" t="str">
        <f t="shared" si="2"/>
        <v/>
      </c>
    </row>
    <row r="14" spans="1:12" x14ac:dyDescent="0.25">
      <c r="A14" t="s">
        <v>37</v>
      </c>
      <c r="B14">
        <v>2.3519100000000002</v>
      </c>
      <c r="C14" s="23"/>
      <c r="E14">
        <v>82341</v>
      </c>
      <c r="F14" s="21">
        <v>0.3</v>
      </c>
      <c r="G14" s="22">
        <f>IF(G11&gt;E13,IF(G11&gt;E14,E14-E13,G11-E13),0)</f>
        <v>0</v>
      </c>
      <c r="I14">
        <f t="shared" si="0"/>
        <v>2.3519100000000002</v>
      </c>
      <c r="J14" t="str">
        <f t="shared" si="1"/>
        <v>24 ans</v>
      </c>
      <c r="K14" t="str">
        <f>IF(J13='versement programmé'!$C$6,"",IF('versement programmé'!$C$5=J14,('versement programmé'!$C$7*12-'versement programmé'!$C$8)/I14,IF(K13="","",('versement programmé'!$C$7*12-'versement programmé'!$C$8)/I14)))</f>
        <v/>
      </c>
      <c r="L14" t="str">
        <f t="shared" si="2"/>
        <v/>
      </c>
    </row>
    <row r="15" spans="1:12" x14ac:dyDescent="0.25">
      <c r="A15" t="s">
        <v>38</v>
      </c>
      <c r="B15">
        <v>2.4229500000000002</v>
      </c>
      <c r="C15" s="23"/>
      <c r="E15">
        <v>177106</v>
      </c>
      <c r="F15" s="21">
        <v>0.41</v>
      </c>
      <c r="G15" s="22">
        <f>IF(G11&gt;E14,IF(G11&gt;E15,E15-E14,G11-E14),0)</f>
        <v>0</v>
      </c>
      <c r="I15">
        <f t="shared" si="0"/>
        <v>2.4229500000000002</v>
      </c>
      <c r="J15" t="str">
        <f t="shared" si="1"/>
        <v>25 ans</v>
      </c>
      <c r="K15" t="str">
        <f>IF(J14='versement programmé'!$C$6,"",IF('versement programmé'!$C$5=J15,('versement programmé'!$C$7*12-'versement programmé'!$C$8)/I15,IF(K14="","",('versement programmé'!$C$7*12-'versement programmé'!$C$8)/I15)))</f>
        <v/>
      </c>
      <c r="L15" t="str">
        <f t="shared" si="2"/>
        <v/>
      </c>
    </row>
    <row r="16" spans="1:12" x14ac:dyDescent="0.25">
      <c r="A16" t="s">
        <v>39</v>
      </c>
      <c r="B16">
        <v>2.4658000000000002</v>
      </c>
      <c r="C16" s="23"/>
      <c r="F16" s="21">
        <v>0.45</v>
      </c>
      <c r="G16" s="22">
        <f>IF(G11&gt;E15,G11-E15,0)</f>
        <v>0</v>
      </c>
      <c r="I16">
        <f t="shared" si="0"/>
        <v>2.4658000000000002</v>
      </c>
      <c r="J16" t="str">
        <f t="shared" si="1"/>
        <v>26 ans</v>
      </c>
      <c r="K16" t="str">
        <f>IF(J15='versement programmé'!$C$6,"",IF('versement programmé'!$C$5=J16,('versement programmé'!$C$7*12-'versement programmé'!$C$8)/I16,IF(K15="","",('versement programmé'!$C$7*12-'versement programmé'!$C$8)/I16)))</f>
        <v/>
      </c>
      <c r="L16" t="str">
        <f t="shared" si="2"/>
        <v/>
      </c>
    </row>
    <row r="17" spans="1:12" x14ac:dyDescent="0.25">
      <c r="A17" t="s">
        <v>40</v>
      </c>
      <c r="B17">
        <v>2.5093399999999999</v>
      </c>
      <c r="C17" s="23"/>
      <c r="I17">
        <f t="shared" si="0"/>
        <v>2.5093399999999999</v>
      </c>
      <c r="J17" t="str">
        <f t="shared" si="1"/>
        <v>27 ans</v>
      </c>
      <c r="K17" t="str">
        <f>IF(J16='versement programmé'!$C$6,"",IF('versement programmé'!$C$5=J17,('versement programmé'!$C$7*12-'versement programmé'!$C$8)/I17,IF(K16="","",('versement programmé'!$C$7*12-'versement programmé'!$C$8)/I17)))</f>
        <v/>
      </c>
      <c r="L17" t="str">
        <f t="shared" si="2"/>
        <v/>
      </c>
    </row>
    <row r="18" spans="1:12" x14ac:dyDescent="0.25">
      <c r="A18" t="s">
        <v>41</v>
      </c>
      <c r="B18">
        <v>2.5535600000000001</v>
      </c>
      <c r="C18" s="23"/>
      <c r="I18">
        <f t="shared" si="0"/>
        <v>2.5535600000000001</v>
      </c>
      <c r="J18" t="str">
        <f t="shared" si="1"/>
        <v>28 ans</v>
      </c>
      <c r="K18" t="str">
        <f>IF(J17='versement programmé'!$C$6,"",IF('versement programmé'!$C$5=J18,('versement programmé'!$C$7*12-'versement programmé'!$C$8)/I18,IF(K17="","",('versement programmé'!$C$7*12-'versement programmé'!$C$8)/I18)))</f>
        <v/>
      </c>
      <c r="L18" t="str">
        <f t="shared" si="2"/>
        <v/>
      </c>
    </row>
    <row r="19" spans="1:12" x14ac:dyDescent="0.25">
      <c r="A19" t="s">
        <v>42</v>
      </c>
      <c r="B19">
        <v>2.5985</v>
      </c>
      <c r="C19" s="23"/>
      <c r="I19">
        <f t="shared" si="0"/>
        <v>2.5985</v>
      </c>
      <c r="J19" t="str">
        <f t="shared" si="1"/>
        <v>29 ans</v>
      </c>
      <c r="K19" t="str">
        <f>IF(J18='versement programmé'!$C$6,"",IF('versement programmé'!$C$5=J19,('versement programmé'!$C$7*12-'versement programmé'!$C$8)/I19,IF(K18="","",('versement programmé'!$C$7*12-'versement programmé'!$C$8)/I19)))</f>
        <v/>
      </c>
      <c r="L19" t="str">
        <f t="shared" si="2"/>
        <v/>
      </c>
    </row>
    <row r="20" spans="1:12" x14ac:dyDescent="0.25">
      <c r="A20" t="s">
        <v>43</v>
      </c>
      <c r="B20">
        <v>2.6441400000000002</v>
      </c>
      <c r="C20" s="23"/>
      <c r="I20">
        <f t="shared" si="0"/>
        <v>2.6441400000000002</v>
      </c>
      <c r="J20" t="str">
        <f t="shared" si="1"/>
        <v>30 ans</v>
      </c>
      <c r="K20" t="str">
        <f>IF(J19='versement programmé'!$C$6,"",IF('versement programmé'!$C$5=J20,('versement programmé'!$C$7*12-'versement programmé'!$C$8)/I20,IF(K19="","",('versement programmé'!$C$7*12-'versement programmé'!$C$8)/I20)))</f>
        <v/>
      </c>
      <c r="L20" t="str">
        <f t="shared" si="2"/>
        <v/>
      </c>
    </row>
    <row r="21" spans="1:12" x14ac:dyDescent="0.25">
      <c r="A21" t="s">
        <v>44</v>
      </c>
      <c r="B21">
        <v>2.6905100000000002</v>
      </c>
      <c r="C21" s="23"/>
      <c r="I21">
        <f t="shared" si="0"/>
        <v>2.6905100000000002</v>
      </c>
      <c r="J21" t="str">
        <f t="shared" si="1"/>
        <v>31 ans</v>
      </c>
      <c r="K21" t="str">
        <f>IF(J20='versement programmé'!$C$6,"",IF('versement programmé'!$C$5=J21,('versement programmé'!$C$7*12-'versement programmé'!$C$8)/I21,IF(K20="","",('versement programmé'!$C$7*12-'versement programmé'!$C$8)/I21)))</f>
        <v/>
      </c>
      <c r="L21" t="str">
        <f t="shared" si="2"/>
        <v/>
      </c>
    </row>
    <row r="22" spans="1:12" x14ac:dyDescent="0.25">
      <c r="A22" t="s">
        <v>45</v>
      </c>
      <c r="B22">
        <v>2.7376200000000002</v>
      </c>
      <c r="C22" s="23"/>
      <c r="I22">
        <f t="shared" si="0"/>
        <v>2.7376200000000002</v>
      </c>
      <c r="J22" t="str">
        <f t="shared" si="1"/>
        <v>32 ans</v>
      </c>
      <c r="K22" t="str">
        <f>IF(J21='versement programmé'!$C$6,"",IF('versement programmé'!$C$5=J22,('versement programmé'!$C$7*12-'versement programmé'!$C$8)/I22,IF(K21="","",('versement programmé'!$C$7*12-'versement programmé'!$C$8)/I22)))</f>
        <v/>
      </c>
      <c r="L22" t="str">
        <f t="shared" si="2"/>
        <v/>
      </c>
    </row>
    <row r="23" spans="1:12" x14ac:dyDescent="0.25">
      <c r="A23" t="s">
        <v>46</v>
      </c>
      <c r="B23">
        <v>2.7854800000000002</v>
      </c>
      <c r="C23" s="23"/>
      <c r="I23">
        <f t="shared" si="0"/>
        <v>2.7854800000000002</v>
      </c>
      <c r="J23" t="str">
        <f t="shared" si="1"/>
        <v>33 ans</v>
      </c>
      <c r="K23" t="str">
        <f>IF(J22='versement programmé'!$C$6,"",IF('versement programmé'!$C$5=J23,('versement programmé'!$C$7*12-'versement programmé'!$C$8)/I23,IF(K22="","",('versement programmé'!$C$7*12-'versement programmé'!$C$8)/I23)))</f>
        <v/>
      </c>
      <c r="L23" t="str">
        <f t="shared" si="2"/>
        <v/>
      </c>
    </row>
    <row r="24" spans="1:12" x14ac:dyDescent="0.25">
      <c r="A24" t="s">
        <v>47</v>
      </c>
      <c r="B24">
        <v>2.83413</v>
      </c>
      <c r="C24" s="23"/>
      <c r="I24">
        <f t="shared" si="0"/>
        <v>2.83413</v>
      </c>
      <c r="J24" t="str">
        <f t="shared" si="1"/>
        <v>34 ans</v>
      </c>
      <c r="K24" t="str">
        <f>IF(J23='versement programmé'!$C$6,"",IF('versement programmé'!$C$5=J24,('versement programmé'!$C$7*12-'versement programmé'!$C$8)/I24,IF(K23="","",('versement programmé'!$C$7*12-'versement programmé'!$C$8)/I24)))</f>
        <v/>
      </c>
      <c r="L24" t="str">
        <f t="shared" si="2"/>
        <v/>
      </c>
    </row>
    <row r="25" spans="1:12" x14ac:dyDescent="0.25">
      <c r="A25" t="s">
        <v>48</v>
      </c>
      <c r="B25">
        <v>2.8835500000000001</v>
      </c>
      <c r="C25" s="23"/>
      <c r="I25">
        <f t="shared" si="0"/>
        <v>2.8835500000000001</v>
      </c>
      <c r="J25" t="str">
        <f t="shared" si="1"/>
        <v>35 ans</v>
      </c>
      <c r="K25" t="str">
        <f>IF(J24='versement programmé'!$C$6,"",IF('versement programmé'!$C$5=J25,('versement programmé'!$C$7*12-'versement programmé'!$C$8)/I25,IF(K24="","",('versement programmé'!$C$7*12-'versement programmé'!$C$8)/I25)))</f>
        <v/>
      </c>
      <c r="L25" t="str">
        <f t="shared" si="2"/>
        <v/>
      </c>
    </row>
    <row r="26" spans="1:12" x14ac:dyDescent="0.25">
      <c r="A26" t="s">
        <v>49</v>
      </c>
      <c r="B26">
        <v>2.9338000000000002</v>
      </c>
      <c r="C26" s="23"/>
      <c r="I26">
        <f t="shared" si="0"/>
        <v>2.9338000000000002</v>
      </c>
      <c r="J26" t="str">
        <f t="shared" si="1"/>
        <v>36 ans</v>
      </c>
      <c r="K26" t="str">
        <f>IF(J25='versement programmé'!$C$6,"",IF('versement programmé'!$C$5=J26,('versement programmé'!$C$7*12-'versement programmé'!$C$8)/I26,IF(K25="","",('versement programmé'!$C$7*12-'versement programmé'!$C$8)/I26)))</f>
        <v/>
      </c>
      <c r="L26" t="str">
        <f t="shared" si="2"/>
        <v/>
      </c>
    </row>
    <row r="27" spans="1:12" x14ac:dyDescent="0.25">
      <c r="A27" t="s">
        <v>50</v>
      </c>
      <c r="B27">
        <v>2.9848499999999998</v>
      </c>
      <c r="C27" s="23"/>
      <c r="I27">
        <f t="shared" si="0"/>
        <v>2.9848499999999998</v>
      </c>
      <c r="J27" t="str">
        <f t="shared" si="1"/>
        <v>37 ans</v>
      </c>
      <c r="K27" t="str">
        <f>IF(J26='versement programmé'!$C$6,"",IF('versement programmé'!$C$5=J27,('versement programmé'!$C$7*12-'versement programmé'!$C$8)/I27,IF(K26="","",('versement programmé'!$C$7*12-'versement programmé'!$C$8)/I27)))</f>
        <v/>
      </c>
      <c r="L27" t="str">
        <f t="shared" si="2"/>
        <v/>
      </c>
    </row>
    <row r="28" spans="1:12" x14ac:dyDescent="0.25">
      <c r="A28" t="s">
        <v>51</v>
      </c>
      <c r="B28">
        <v>3.0367899999999999</v>
      </c>
      <c r="C28" s="23"/>
      <c r="I28">
        <f t="shared" si="0"/>
        <v>3.0367899999999999</v>
      </c>
      <c r="J28" t="str">
        <f t="shared" si="1"/>
        <v>38 ans</v>
      </c>
      <c r="K28" t="str">
        <f>IF(J27='versement programmé'!$C$6,"",IF('versement programmé'!$C$5=J28,('versement programmé'!$C$7*12-'versement programmé'!$C$8)/I28,IF(K27="","",('versement programmé'!$C$7*12-'versement programmé'!$C$8)/I28)))</f>
        <v/>
      </c>
      <c r="L28" t="str">
        <f t="shared" si="2"/>
        <v/>
      </c>
    </row>
    <row r="29" spans="1:12" x14ac:dyDescent="0.25">
      <c r="A29" t="s">
        <v>52</v>
      </c>
      <c r="B29">
        <v>3.08961</v>
      </c>
      <c r="C29" s="23"/>
      <c r="I29">
        <f t="shared" si="0"/>
        <v>3.08961</v>
      </c>
      <c r="J29" t="str">
        <f t="shared" si="1"/>
        <v>39 ans</v>
      </c>
      <c r="K29" t="str">
        <f>IF(J28='versement programmé'!$C$6,"",IF('versement programmé'!$C$5=J29,('versement programmé'!$C$7*12-'versement programmé'!$C$8)/I29,IF(K28="","",('versement programmé'!$C$7*12-'versement programmé'!$C$8)/I29)))</f>
        <v/>
      </c>
      <c r="L29" t="str">
        <f t="shared" si="2"/>
        <v/>
      </c>
    </row>
    <row r="30" spans="1:12" x14ac:dyDescent="0.25">
      <c r="A30" t="s">
        <v>53</v>
      </c>
      <c r="B30">
        <v>3.1433300000000002</v>
      </c>
      <c r="C30" s="23"/>
      <c r="I30">
        <f t="shared" si="0"/>
        <v>3.1433300000000002</v>
      </c>
      <c r="J30" t="str">
        <f t="shared" si="1"/>
        <v>40 ans</v>
      </c>
      <c r="K30" t="str">
        <f>IF(J29='versement programmé'!$C$6,"",IF('versement programmé'!$C$5=J30,('versement programmé'!$C$7*12-'versement programmé'!$C$8)/I30,IF(K29="","",('versement programmé'!$C$7*12-'versement programmé'!$C$8)/I30)))</f>
        <v/>
      </c>
      <c r="L30" t="str">
        <f t="shared" si="2"/>
        <v/>
      </c>
    </row>
    <row r="31" spans="1:12" x14ac:dyDescent="0.25">
      <c r="A31" t="s">
        <v>54</v>
      </c>
      <c r="B31">
        <v>3.3433700000000002</v>
      </c>
      <c r="C31" s="23"/>
      <c r="I31">
        <f t="shared" si="0"/>
        <v>3.3433700000000002</v>
      </c>
      <c r="J31" t="str">
        <f t="shared" si="1"/>
        <v>41 ans</v>
      </c>
      <c r="K31" t="str">
        <f>IF(J30='versement programmé'!$C$6,"",IF('versement programmé'!$C$5=J31,('versement programmé'!$C$7*12-'versement programmé'!$C$8)/I31,IF(K30="","",('versement programmé'!$C$7*12-'versement programmé'!$C$8)/I31)))</f>
        <v/>
      </c>
      <c r="L31" t="str">
        <f t="shared" si="2"/>
        <v/>
      </c>
    </row>
    <row r="32" spans="1:12" x14ac:dyDescent="0.25">
      <c r="A32" t="s">
        <v>55</v>
      </c>
      <c r="B32">
        <v>3.40368</v>
      </c>
      <c r="C32" s="23"/>
      <c r="I32">
        <f t="shared" si="0"/>
        <v>3.40368</v>
      </c>
      <c r="J32" t="str">
        <f t="shared" si="1"/>
        <v>42 ans</v>
      </c>
      <c r="K32" t="str">
        <f>IF(J31='versement programmé'!$C$6,"",IF('versement programmé'!$C$5=J32,('versement programmé'!$C$7*12-'versement programmé'!$C$8)/I32,IF(K31="","",('versement programmé'!$C$7*12-'versement programmé'!$C$8)/I32)))</f>
        <v/>
      </c>
      <c r="L32" t="str">
        <f t="shared" si="2"/>
        <v/>
      </c>
    </row>
    <row r="33" spans="1:12" x14ac:dyDescent="0.25">
      <c r="A33" t="s">
        <v>2</v>
      </c>
      <c r="B33">
        <v>3.4654799999999999</v>
      </c>
      <c r="C33" s="23"/>
      <c r="I33">
        <f t="shared" si="0"/>
        <v>3.4654799999999999</v>
      </c>
      <c r="J33" t="str">
        <f t="shared" si="1"/>
        <v>43 ans</v>
      </c>
      <c r="K33" t="str">
        <f>IF(J32='versement programmé'!$C$6,"",IF('versement programmé'!$C$5=J33,('versement programmé'!$C$7*12-'versement programmé'!$C$8)/I33,IF(K32="","",('versement programmé'!$C$7*12-'versement programmé'!$C$8)/I33)))</f>
        <v/>
      </c>
      <c r="L33" t="str">
        <f t="shared" si="2"/>
        <v/>
      </c>
    </row>
    <row r="34" spans="1:12" x14ac:dyDescent="0.25">
      <c r="A34" t="s">
        <v>56</v>
      </c>
      <c r="B34">
        <v>3.5286900000000001</v>
      </c>
      <c r="C34" s="23"/>
      <c r="I34">
        <f t="shared" si="0"/>
        <v>3.5286900000000001</v>
      </c>
      <c r="J34" t="str">
        <f t="shared" si="1"/>
        <v>44 ans</v>
      </c>
      <c r="K34" t="str">
        <f>IF(J33='versement programmé'!$C$6,"",IF('versement programmé'!$C$5=J34,('versement programmé'!$C$7*12-'versement programmé'!$C$8)/I34,IF(K33="","",('versement programmé'!$C$7*12-'versement programmé'!$C$8)/I34)))</f>
        <v/>
      </c>
      <c r="L34" t="str">
        <f t="shared" si="2"/>
        <v/>
      </c>
    </row>
    <row r="35" spans="1:12" x14ac:dyDescent="0.25">
      <c r="A35" t="s">
        <v>57</v>
      </c>
      <c r="B35">
        <v>3.5928</v>
      </c>
      <c r="C35" s="23"/>
      <c r="I35">
        <f t="shared" si="0"/>
        <v>3.5928</v>
      </c>
      <c r="J35" t="str">
        <f t="shared" si="1"/>
        <v>45 ans</v>
      </c>
      <c r="K35" t="str">
        <f>IF(J34='versement programmé'!$C$6,"",IF('versement programmé'!$C$5=J35,('versement programmé'!$C$7*12-'versement programmé'!$C$8)/I35,IF(K34="","",('versement programmé'!$C$7*12-'versement programmé'!$C$8)/I35)))</f>
        <v/>
      </c>
      <c r="L35" t="str">
        <f t="shared" si="2"/>
        <v/>
      </c>
    </row>
    <row r="36" spans="1:12" x14ac:dyDescent="0.25">
      <c r="A36" t="s">
        <v>58</v>
      </c>
      <c r="B36">
        <v>3.6577600000000001</v>
      </c>
      <c r="C36" s="23"/>
      <c r="I36">
        <f t="shared" si="0"/>
        <v>3.6577600000000001</v>
      </c>
      <c r="J36" t="str">
        <f t="shared" si="1"/>
        <v>46 ans</v>
      </c>
      <c r="K36" t="str">
        <f>IF(J35='versement programmé'!$C$6,"",IF('versement programmé'!$C$5=J36,('versement programmé'!$C$7*12-'versement programmé'!$C$8)/I36,IF(K35="","",('versement programmé'!$C$7*12-'versement programmé'!$C$8)/I36)))</f>
        <v/>
      </c>
      <c r="L36" t="str">
        <f t="shared" si="2"/>
        <v/>
      </c>
    </row>
    <row r="37" spans="1:12" x14ac:dyDescent="0.25">
      <c r="A37" t="s">
        <v>59</v>
      </c>
      <c r="B37">
        <v>3.7234699999999998</v>
      </c>
      <c r="C37" s="23"/>
      <c r="I37">
        <f t="shared" si="0"/>
        <v>3.7234699999999998</v>
      </c>
      <c r="J37" t="str">
        <f t="shared" si="1"/>
        <v>47 ans</v>
      </c>
      <c r="K37">
        <f>IF(J36='versement programmé'!$C$6,"",IF('versement programmé'!$C$5=J37,('versement programmé'!$C$7*12-'versement programmé'!$C$8)/I37,IF(K36="","",('versement programmé'!$C$7*12-'versement programmé'!$C$8)/I37)))</f>
        <v>319.86292356323537</v>
      </c>
      <c r="L37">
        <f t="shared" si="2"/>
        <v>3.7234699999999998</v>
      </c>
    </row>
    <row r="38" spans="1:12" x14ac:dyDescent="0.25">
      <c r="A38" t="s">
        <v>60</v>
      </c>
      <c r="B38">
        <v>3.7900200000000002</v>
      </c>
      <c r="C38" s="23"/>
      <c r="I38">
        <f t="shared" si="0"/>
        <v>3.7900200000000002</v>
      </c>
      <c r="J38" t="str">
        <f t="shared" si="1"/>
        <v>48 ans</v>
      </c>
      <c r="K38">
        <f>IF(J37='versement programmé'!$C$6,"",IF('versement programmé'!$C$5=J38,('versement programmé'!$C$7*12-'versement programmé'!$C$8)/I38,IF(K37="","",('versement programmé'!$C$7*12-'versement programmé'!$C$8)/I38)))</f>
        <v>314.24636281602733</v>
      </c>
      <c r="L38">
        <f t="shared" si="2"/>
        <v>3.7900200000000002</v>
      </c>
    </row>
    <row r="39" spans="1:12" x14ac:dyDescent="0.25">
      <c r="A39" t="s">
        <v>61</v>
      </c>
      <c r="B39">
        <v>3.8576100000000002</v>
      </c>
      <c r="C39" s="23"/>
      <c r="I39">
        <f t="shared" si="0"/>
        <v>3.8576100000000002</v>
      </c>
      <c r="J39" t="str">
        <f t="shared" si="1"/>
        <v>49 ans</v>
      </c>
      <c r="K39">
        <f>IF(J38='versement programmé'!$C$6,"",IF('versement programmé'!$C$5=J39,('versement programmé'!$C$7*12-'versement programmé'!$C$8)/I39,IF(K38="","",('versement programmé'!$C$7*12-'versement programmé'!$C$8)/I39)))</f>
        <v>308.74038588659818</v>
      </c>
      <c r="L39">
        <f t="shared" si="2"/>
        <v>3.8576100000000002</v>
      </c>
    </row>
    <row r="40" spans="1:12" x14ac:dyDescent="0.25">
      <c r="A40" t="s">
        <v>62</v>
      </c>
      <c r="B40">
        <v>3.9268299999999998</v>
      </c>
      <c r="C40" s="23"/>
      <c r="I40">
        <f t="shared" si="0"/>
        <v>3.9268299999999998</v>
      </c>
      <c r="J40" t="str">
        <f t="shared" si="1"/>
        <v>50 ans</v>
      </c>
      <c r="K40">
        <f>IF(J39='versement programmé'!$C$6,"",IF('versement programmé'!$C$5=J40,('versement programmé'!$C$7*12-'versement programmé'!$C$8)/I40,IF(K39="","",('versement programmé'!$C$7*12-'versement programmé'!$C$8)/I40)))</f>
        <v>303.29808013079253</v>
      </c>
      <c r="L40">
        <f t="shared" si="2"/>
        <v>3.9268299999999998</v>
      </c>
    </row>
    <row r="41" spans="1:12" x14ac:dyDescent="0.25">
      <c r="A41" t="s">
        <v>63</v>
      </c>
      <c r="B41">
        <v>3.9980600000000002</v>
      </c>
      <c r="C41" s="23"/>
      <c r="I41">
        <f t="shared" si="0"/>
        <v>3.9980600000000002</v>
      </c>
      <c r="J41" t="str">
        <f t="shared" si="1"/>
        <v>51 ans</v>
      </c>
      <c r="K41">
        <f>IF(J40='versement programmé'!$C$6,"",IF('versement programmé'!$C$5=J41,('versement programmé'!$C$7*12-'versement programmé'!$C$8)/I41,IF(K40="","",('versement programmé'!$C$7*12-'versement programmé'!$C$8)/I41)))</f>
        <v>297.89447882222879</v>
      </c>
      <c r="L41">
        <f t="shared" si="2"/>
        <v>3.9980600000000002</v>
      </c>
    </row>
    <row r="42" spans="1:12" x14ac:dyDescent="0.25">
      <c r="A42" t="s">
        <v>64</v>
      </c>
      <c r="B42">
        <v>4.0715300000000001</v>
      </c>
      <c r="C42" s="23"/>
      <c r="I42">
        <f t="shared" si="0"/>
        <v>4.0715300000000001</v>
      </c>
      <c r="J42" t="str">
        <f t="shared" si="1"/>
        <v>52 ans</v>
      </c>
      <c r="K42">
        <f>IF(J41='versement programmé'!$C$6,"",IF('versement programmé'!$C$5=J42,('versement programmé'!$C$7*12-'versement programmé'!$C$8)/I42,IF(K41="","",('versement programmé'!$C$7*12-'versement programmé'!$C$8)/I42)))</f>
        <v>292.51902847332576</v>
      </c>
      <c r="L42">
        <f t="shared" si="2"/>
        <v>4.0715300000000001</v>
      </c>
    </row>
    <row r="43" spans="1:12" x14ac:dyDescent="0.25">
      <c r="A43" t="s">
        <v>65</v>
      </c>
      <c r="B43">
        <v>4.1475200000000001</v>
      </c>
      <c r="C43" s="23"/>
      <c r="I43">
        <f t="shared" si="0"/>
        <v>4.1475200000000001</v>
      </c>
      <c r="J43" t="str">
        <f t="shared" si="1"/>
        <v>53 ans</v>
      </c>
      <c r="K43">
        <f>IF(J42='versement programmé'!$C$6,"",IF('versement programmé'!$C$5=J43,('versement programmé'!$C$7*12-'versement programmé'!$C$8)/I43,IF(K42="","",('versement programmé'!$C$7*12-'versement programmé'!$C$8)/I43)))</f>
        <v>287.15955558984643</v>
      </c>
      <c r="L43">
        <f t="shared" si="2"/>
        <v>4.1475200000000001</v>
      </c>
    </row>
    <row r="44" spans="1:12" x14ac:dyDescent="0.25">
      <c r="A44" t="s">
        <v>66</v>
      </c>
      <c r="B44">
        <v>4.2262399999999998</v>
      </c>
      <c r="C44" s="23"/>
      <c r="I44">
        <f t="shared" si="0"/>
        <v>4.2262399999999998</v>
      </c>
      <c r="J44" t="str">
        <f t="shared" si="1"/>
        <v>54 ans</v>
      </c>
      <c r="K44">
        <f>IF(J43='versement programmé'!$C$6,"",IF('versement programmé'!$C$5=J44,('versement programmé'!$C$7*12-'versement programmé'!$C$8)/I44,IF(K43="","",('versement programmé'!$C$7*12-'versement programmé'!$C$8)/I44)))</f>
        <v>281.81078216097524</v>
      </c>
      <c r="L44">
        <f t="shared" si="2"/>
        <v>4.2262399999999998</v>
      </c>
    </row>
    <row r="45" spans="1:12" x14ac:dyDescent="0.25">
      <c r="A45" t="s">
        <v>67</v>
      </c>
      <c r="B45">
        <v>4.3076800000000004</v>
      </c>
      <c r="C45" s="23"/>
      <c r="I45">
        <f t="shared" si="0"/>
        <v>4.3076800000000004</v>
      </c>
      <c r="J45" t="str">
        <f t="shared" si="1"/>
        <v>55 ans</v>
      </c>
      <c r="K45">
        <f>IF(J44='versement programmé'!$C$6,"",IF('versement programmé'!$C$5=J45,('versement programmé'!$C$7*12-'versement programmé'!$C$8)/I45,IF(K44="","",('versement programmé'!$C$7*12-'versement programmé'!$C$8)/I45)))</f>
        <v>276.48293280837942</v>
      </c>
      <c r="L45">
        <f t="shared" si="2"/>
        <v>4.3076800000000004</v>
      </c>
    </row>
    <row r="46" spans="1:12" x14ac:dyDescent="0.25">
      <c r="A46" t="s">
        <v>68</v>
      </c>
      <c r="B46">
        <v>4.3919899999999998</v>
      </c>
      <c r="C46" s="23"/>
      <c r="I46">
        <f t="shared" si="0"/>
        <v>4.3919899999999998</v>
      </c>
      <c r="J46" t="str">
        <f t="shared" si="1"/>
        <v>56 ans</v>
      </c>
      <c r="K46">
        <f>IF(J45='versement programmé'!$C$6,"",IF('versement programmé'!$C$5=J46,('versement programmé'!$C$7*12-'versement programmé'!$C$8)/I46,IF(K45="","",('versement programmé'!$C$7*12-'versement programmé'!$C$8)/I46)))</f>
        <v>271.17548081849003</v>
      </c>
      <c r="L46">
        <f t="shared" si="2"/>
        <v>4.3919899999999998</v>
      </c>
    </row>
    <row r="47" spans="1:12" x14ac:dyDescent="0.25">
      <c r="A47" t="s">
        <v>69</v>
      </c>
      <c r="B47">
        <v>4.4792100000000001</v>
      </c>
      <c r="C47" s="23"/>
      <c r="I47">
        <f t="shared" si="0"/>
        <v>4.4792100000000001</v>
      </c>
      <c r="J47" t="str">
        <f t="shared" si="1"/>
        <v>57 ans</v>
      </c>
      <c r="K47">
        <f>IF(J46='versement programmé'!$C$6,"",IF('versement programmé'!$C$5=J47,('versement programmé'!$C$7*12-'versement programmé'!$C$8)/I47,IF(K46="","",('versement programmé'!$C$7*12-'versement programmé'!$C$8)/I47)))</f>
        <v>265.8951020380826</v>
      </c>
      <c r="L47">
        <f t="shared" si="2"/>
        <v>4.4792100000000001</v>
      </c>
    </row>
    <row r="48" spans="1:12" x14ac:dyDescent="0.25">
      <c r="A48" t="s">
        <v>70</v>
      </c>
      <c r="B48">
        <v>4.5692599999999999</v>
      </c>
      <c r="C48" s="23"/>
      <c r="I48">
        <f t="shared" si="0"/>
        <v>4.5692599999999999</v>
      </c>
      <c r="J48" t="str">
        <f t="shared" si="1"/>
        <v>58 ans</v>
      </c>
      <c r="K48">
        <f>IF(J47='versement programmé'!$C$6,"",IF('versement programmé'!$C$5=J48,('versement programmé'!$C$7*12-'versement programmé'!$C$8)/I48,IF(K47="","",('versement programmé'!$C$7*12-'versement programmé'!$C$8)/I48)))</f>
        <v>260.65489816731815</v>
      </c>
      <c r="L48">
        <f t="shared" si="2"/>
        <v>4.5692599999999999</v>
      </c>
    </row>
    <row r="49" spans="1:12" x14ac:dyDescent="0.25">
      <c r="A49" t="s">
        <v>71</v>
      </c>
      <c r="B49">
        <v>4.8834200000000001</v>
      </c>
      <c r="C49" s="23"/>
      <c r="I49">
        <f t="shared" si="0"/>
        <v>4.8834200000000001</v>
      </c>
      <c r="J49" t="str">
        <f t="shared" si="1"/>
        <v>59 ans</v>
      </c>
      <c r="K49">
        <f>IF(J48='versement programmé'!$C$6,"",IF('versement programmé'!$C$5=J49,('versement programmé'!$C$7*12-'versement programmé'!$C$8)/I49,IF(K48="","",('versement programmé'!$C$7*12-'versement programmé'!$C$8)/I49)))</f>
        <v>243.88645662261283</v>
      </c>
      <c r="L49">
        <f t="shared" si="2"/>
        <v>4.8834200000000001</v>
      </c>
    </row>
    <row r="50" spans="1:12" x14ac:dyDescent="0.25">
      <c r="A50" t="s">
        <v>72</v>
      </c>
      <c r="B50">
        <v>4.9826300000000003</v>
      </c>
      <c r="C50" s="23"/>
      <c r="I50">
        <f t="shared" si="0"/>
        <v>4.9826300000000003</v>
      </c>
      <c r="J50" t="str">
        <f t="shared" si="1"/>
        <v>60 ans</v>
      </c>
      <c r="K50">
        <f>IF(J49='versement programmé'!$C$6,"",IF('versement programmé'!$C$5=J50,('versement programmé'!$C$7*12-'versement programmé'!$C$8)/I50,IF(K49="","",('versement programmé'!$C$7*12-'versement programmé'!$C$8)/I50)))</f>
        <v>239.03039158035011</v>
      </c>
      <c r="L50">
        <f t="shared" si="2"/>
        <v>4.9826300000000003</v>
      </c>
    </row>
    <row r="51" spans="1:12" x14ac:dyDescent="0.25">
      <c r="A51" t="s">
        <v>73</v>
      </c>
      <c r="B51">
        <v>5.08371</v>
      </c>
      <c r="C51" s="23"/>
      <c r="I51">
        <f t="shared" si="0"/>
        <v>5.08371</v>
      </c>
      <c r="J51" t="str">
        <f t="shared" si="1"/>
        <v>61 ans</v>
      </c>
      <c r="K51">
        <f>IF(J50='versement programmé'!$C$6,"",IF('versement programmé'!$C$5=J51,('versement programmé'!$C$7*12-'versement programmé'!$C$8)/I51,IF(K50="","",('versement programmé'!$C$7*12-'versement programmé'!$C$8)/I51)))</f>
        <v>234.27772237204718</v>
      </c>
      <c r="L51">
        <f t="shared" si="2"/>
        <v>5.08371</v>
      </c>
    </row>
    <row r="52" spans="1:12" x14ac:dyDescent="0.25">
      <c r="A52" t="s">
        <v>74</v>
      </c>
      <c r="B52">
        <v>5.18668</v>
      </c>
      <c r="C52" s="23"/>
      <c r="I52">
        <f t="shared" si="0"/>
        <v>5.18668</v>
      </c>
      <c r="J52" t="s">
        <v>74</v>
      </c>
      <c r="K52">
        <f>IF(J51='versement programmé'!$C$6,"",IF('versement programmé'!$C$5=J52,('versement programmé'!$C$7*12-'versement programmé'!$C$8)/I52,IF(K51="","",('versement programmé'!$C$7*12-'versement programmé'!$C$8)/I52)))</f>
        <v>229.62665905743174</v>
      </c>
      <c r="L52">
        <f t="shared" si="2"/>
        <v>5.18668</v>
      </c>
    </row>
    <row r="53" spans="1:12" x14ac:dyDescent="0.25">
      <c r="A53" t="s">
        <v>75</v>
      </c>
      <c r="B53">
        <v>5.18668</v>
      </c>
      <c r="I53">
        <f>I52</f>
        <v>5.18668</v>
      </c>
      <c r="J53" t="s">
        <v>75</v>
      </c>
      <c r="K53">
        <f>IF(J52='versement programmé'!$C$6,"",IF('versement programmé'!$C$5=J53,('versement programmé'!$C$7*12-'versement programmé'!$C$8)/I53,IF(K52="","",('versement programmé'!$C$7*12-'versement programmé'!$C$8)/I53)))</f>
        <v>229.62665905743174</v>
      </c>
      <c r="L53">
        <f t="shared" si="2"/>
        <v>5.18668</v>
      </c>
    </row>
    <row r="54" spans="1:12" x14ac:dyDescent="0.25">
      <c r="A54" t="s">
        <v>92</v>
      </c>
      <c r="B54">
        <v>5.18668</v>
      </c>
      <c r="I54">
        <f t="shared" ref="I54:I59" si="3">I53</f>
        <v>5.18668</v>
      </c>
      <c r="J54" t="s">
        <v>22</v>
      </c>
      <c r="K54">
        <f>IF(J53='versement programmé'!$C$6,"",IF('versement programmé'!$C$5=J54,('versement programmé'!$C$7*12-'versement programmé'!$C$8)/I54,IF(K53="","",('versement programmé'!$C$7*12-'versement programmé'!$C$8)/I54)))</f>
        <v>229.62665905743174</v>
      </c>
      <c r="L54">
        <f t="shared" si="2"/>
        <v>5.18668</v>
      </c>
    </row>
    <row r="55" spans="1:12" x14ac:dyDescent="0.25">
      <c r="I55">
        <f t="shared" si="3"/>
        <v>5.18668</v>
      </c>
      <c r="J55" t="s">
        <v>24</v>
      </c>
      <c r="K55">
        <f>IF(J54='versement programmé'!$C$6,"",IF('versement programmé'!$C$5=J55,('versement programmé'!$C$7*12-'versement programmé'!$C$8)/I55,IF(K54="","",('versement programmé'!$C$7*12-'versement programmé'!$C$8)/I55)))</f>
        <v>229.62665905743174</v>
      </c>
      <c r="L55">
        <f t="shared" si="2"/>
        <v>5.18668</v>
      </c>
    </row>
    <row r="56" spans="1:12" x14ac:dyDescent="0.25">
      <c r="I56">
        <f t="shared" si="3"/>
        <v>5.18668</v>
      </c>
      <c r="J56" t="s">
        <v>76</v>
      </c>
      <c r="K56">
        <f>IF(J55='versement programmé'!$C$6,"",IF('versement programmé'!$C$5=J56,('versement programmé'!$C$7*12-'versement programmé'!$C$8)/I56,IF(K55="","",('versement programmé'!$C$7*12-'versement programmé'!$C$8)/I56)))</f>
        <v>229.62665905743174</v>
      </c>
      <c r="L56">
        <f t="shared" si="2"/>
        <v>5.18668</v>
      </c>
    </row>
    <row r="57" spans="1:12" x14ac:dyDescent="0.25">
      <c r="I57">
        <f t="shared" si="3"/>
        <v>5.18668</v>
      </c>
      <c r="J57" t="s">
        <v>77</v>
      </c>
      <c r="K57">
        <f>IF(J56='versement programmé'!$C$6,"",IF('versement programmé'!$C$5=J57,('versement programmé'!$C$7*12-'versement programmé'!$C$8)/I57,IF(K56="","",('versement programmé'!$C$7*12-'versement programmé'!$C$8)/I57)))</f>
        <v>229.62665905743174</v>
      </c>
      <c r="L57">
        <f t="shared" si="2"/>
        <v>5.18668</v>
      </c>
    </row>
    <row r="58" spans="1:12" x14ac:dyDescent="0.25">
      <c r="I58">
        <f t="shared" si="3"/>
        <v>5.18668</v>
      </c>
      <c r="J58" t="s">
        <v>78</v>
      </c>
      <c r="K58" t="str">
        <f>IF(J57='versement programmé'!$C$6,"",IF('versement programmé'!$C$5=J58,('versement programmé'!$C$7*12-'versement programmé'!$C$8)/I58,IF(K57="","",('versement programmé'!$C$7*12-'versement programmé'!$C$8)/I58)))</f>
        <v/>
      </c>
      <c r="L58" t="str">
        <f t="shared" ref="L58" si="4">IF(K58="","",I58)</f>
        <v/>
      </c>
    </row>
    <row r="59" spans="1:12" x14ac:dyDescent="0.25">
      <c r="I59">
        <f t="shared" si="3"/>
        <v>5.18668</v>
      </c>
      <c r="J59" t="s">
        <v>79</v>
      </c>
      <c r="K59" t="str">
        <f>IF(J58='versement programmé'!$C$6,"",IF('versement programmé'!$C$5=J59,('versement programmé'!$C$7*12-'versement programmé'!$C$8)/I59,IF(K58="","",('versement programmé'!$C$7*12-'versement programmé'!$C$8)/I59)))</f>
        <v/>
      </c>
      <c r="L59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versement ponctuel</vt:lpstr>
      <vt:lpstr>versement programmé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marzin</dc:creator>
  <cp:lastModifiedBy>vincent marzin</cp:lastModifiedBy>
  <dcterms:created xsi:type="dcterms:W3CDTF">2025-07-02T16:10:19Z</dcterms:created>
  <dcterms:modified xsi:type="dcterms:W3CDTF">2026-06-30T07:57:10Z</dcterms:modified>
</cp:coreProperties>
</file>